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06" yWindow="315" windowWidth="16545" windowHeight="1275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<sst xmlns="http://schemas.openxmlformats.org/spreadsheetml/2006/main" count="40" uniqueCount="34">
  <si>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Achsübersetzung</t>
  </si>
  <si>
    <t>Felgendurchmesser</t>
  </si>
  <si>
    <t>Zoll</t>
  </si>
  <si>
    <t>Reifenbreite</t>
  </si>
  <si>
    <t>mm</t>
  </si>
  <si>
    <t>h/b</t>
  </si>
  <si>
    <t>Raddurchmesser</t>
  </si>
  <si>
    <t>Radumfang</t>
  </si>
  <si>
    <t>cm</t>
  </si>
  <si>
    <t>m</t>
  </si>
  <si>
    <t>km/h</t>
  </si>
  <si>
    <t>Leerlaufdrehzahl</t>
  </si>
  <si>
    <t>1/min</t>
  </si>
  <si>
    <t>max. Motordrehzahl</t>
  </si>
  <si>
    <t>Gang</t>
  </si>
  <si>
    <t>Übersetzung</t>
  </si>
  <si>
    <t>Motordrehz.</t>
  </si>
  <si>
    <t>Gelenkw.drehz.</t>
  </si>
  <si>
    <t>Achswellendrehz.</t>
  </si>
  <si>
    <t>Raddrehz.</t>
  </si>
  <si>
    <t>Fz- Geschwindigk.</t>
  </si>
  <si>
    <t>v min  (km/h)</t>
  </si>
  <si>
    <t>v max ( km/h)</t>
  </si>
  <si>
    <t>n1 (1/min)</t>
  </si>
  <si>
    <t>n2 (1/min)</t>
  </si>
  <si>
    <t>Drehzahl- Geschwindigkeits-Diagramm</t>
  </si>
  <si>
    <t>Die Daten in den braunen Zellen können variiert werden.</t>
  </si>
  <si>
    <t>Übersetzung kleinster Gang:</t>
  </si>
  <si>
    <t>Stufensprung:</t>
  </si>
  <si>
    <t>Übersetzung größster Gang:</t>
  </si>
  <si>
    <t>Anzahl der Gänge (maximal 16!)</t>
  </si>
  <si>
    <t>Außenplaneten / Radnabe</t>
  </si>
  <si>
    <t>Felder 11/ 03</t>
  </si>
  <si>
    <t>Spreizung: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</si>
</sst>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#,##0_ ;\-#,##0\ "/>
    <numFmt numFmtId="168" formatCode="0.000000"/>
    <numFmt numFmtId="169" formatCode="0.00000"/>
    <numFmt numFmtId="170" formatCode="0.0000000"/>
  </numFmts>
  <fonts count="5">
    <font>
      <sz val="10"/>
      <name val="Arial"/>
      <family val="0"/>
    </font>
    <font>
      <b/>
      <sz val="12"/>
      <name val="Arial"/>
      <family val="2"/>
    </font>
    <font>
      <sz val="10.5"/>
      <name val="Arial"/>
      <family val="0"/>
    </font>
    <font>
      <sz val="10"/>
      <color indexed="10"/>
      <name val="Arial"/>
      <family val="2"/>
    </font>
    <font>
      <sz val="8"/>
      <color indexed="5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Border="1" applyAlignment="1">
      <alignment/>
    </xf>
    <xf numFmtId="164" fontId="0" fillId="0" borderId="0" xfId="0" applyNumberFormat="1" applyAlignment="1">
      <alignment/>
    </xf>
    <xf numFmtId="0" fontId="0" fillId="3" borderId="0" xfId="0" applyFill="1" applyBorder="1" applyAlignment="1">
      <alignment/>
    </xf>
    <xf numFmtId="1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2" fontId="0" fillId="3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3" borderId="2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1" fontId="0" fillId="5" borderId="0" xfId="0" applyNumberFormat="1" applyFill="1" applyBorder="1" applyAlignment="1">
      <alignment horizontal="right"/>
    </xf>
    <xf numFmtId="2" fontId="0" fillId="5" borderId="0" xfId="0" applyNumberFormat="1" applyFill="1" applyBorder="1" applyAlignment="1">
      <alignment horizontal="right"/>
    </xf>
    <xf numFmtId="2" fontId="0" fillId="5" borderId="2" xfId="0" applyNumberForma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0" fillId="5" borderId="2" xfId="0" applyFill="1" applyBorder="1" applyAlignment="1">
      <alignment horizontal="right"/>
    </xf>
    <xf numFmtId="0" fontId="4" fillId="0" borderId="0" xfId="0" applyFont="1" applyAlignment="1">
      <alignment/>
    </xf>
    <xf numFmtId="167" fontId="0" fillId="2" borderId="3" xfId="18" applyNumberFormat="1" applyFill="1" applyBorder="1" applyAlignment="1">
      <alignment horizontal="center"/>
    </xf>
    <xf numFmtId="167" fontId="0" fillId="2" borderId="1" xfId="18" applyNumberForma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left"/>
    </xf>
    <xf numFmtId="2" fontId="0" fillId="2" borderId="0" xfId="0" applyNumberForma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Tabelle1!$C$23:$C$24</c:f>
              <c:numCache>
                <c:ptCount val="2"/>
                <c:pt idx="0">
                  <c:v>800</c:v>
                </c:pt>
                <c:pt idx="1">
                  <c:v>2100</c:v>
                </c:pt>
              </c:numCache>
            </c:numRef>
          </c:xVal>
          <c:yVal>
            <c:numRef>
              <c:f>Tabelle1!$D$23:$D$24</c:f>
              <c:numCache>
                <c:ptCount val="2"/>
                <c:pt idx="0">
                  <c:v>6.406906604651163</c:v>
                </c:pt>
                <c:pt idx="1">
                  <c:v>16.818129837209305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Tabelle1!$C$23:$C$24</c:f>
              <c:numCache>
                <c:ptCount val="2"/>
                <c:pt idx="0">
                  <c:v>800</c:v>
                </c:pt>
                <c:pt idx="1">
                  <c:v>2100</c:v>
                </c:pt>
              </c:numCache>
            </c:numRef>
          </c:xVal>
          <c:yVal>
            <c:numRef>
              <c:f>Tabelle1!$E$23:$E$24</c:f>
              <c:numCache>
                <c:ptCount val="2"/>
                <c:pt idx="0">
                  <c:v>7.56834850388704</c:v>
                </c:pt>
                <c:pt idx="1">
                  <c:v>19.866914822703478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Tabelle1!$C$23:$C$24</c:f>
              <c:numCache>
                <c:ptCount val="2"/>
                <c:pt idx="0">
                  <c:v>800</c:v>
                </c:pt>
                <c:pt idx="1">
                  <c:v>2100</c:v>
                </c:pt>
              </c:numCache>
            </c:numRef>
          </c:xVal>
          <c:yVal>
            <c:numRef>
              <c:f>Tabelle1!$F$23:$F$24</c:f>
              <c:numCache>
                <c:ptCount val="2"/>
                <c:pt idx="0">
                  <c:v>8.940336204480682</c:v>
                </c:pt>
                <c:pt idx="1">
                  <c:v>23.468382536761784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Tabelle1!$C$23:$C$24</c:f>
              <c:numCache>
                <c:ptCount val="2"/>
                <c:pt idx="0">
                  <c:v>800</c:v>
                </c:pt>
                <c:pt idx="1">
                  <c:v>2100</c:v>
                </c:pt>
              </c:numCache>
            </c:numRef>
          </c:xVal>
          <c:yVal>
            <c:numRef>
              <c:f>Tabelle1!$G$23:$G$24</c:f>
              <c:numCache>
                <c:ptCount val="2"/>
                <c:pt idx="0">
                  <c:v>10.56103737930367</c:v>
                </c:pt>
                <c:pt idx="1">
                  <c:v>27.722723120672136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Tabelle1!$C$23:$C$24</c:f>
              <c:numCache>
                <c:ptCount val="2"/>
                <c:pt idx="0">
                  <c:v>800</c:v>
                </c:pt>
                <c:pt idx="1">
                  <c:v>2100</c:v>
                </c:pt>
              </c:numCache>
            </c:numRef>
          </c:xVal>
          <c:yVal>
            <c:numRef>
              <c:f>Tabelle1!$H$23:$H$24</c:f>
              <c:numCache>
                <c:ptCount val="2"/>
                <c:pt idx="0">
                  <c:v>12.475538724276435</c:v>
                </c:pt>
                <c:pt idx="1">
                  <c:v>32.74828915122564</c:v>
                </c:pt>
              </c:numCache>
            </c:numRef>
          </c:yVal>
          <c:smooth val="1"/>
        </c:ser>
        <c:ser>
          <c:idx val="5"/>
          <c:order val="5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Tabelle1!$C$23:$C$24</c:f>
              <c:numCache>
                <c:ptCount val="2"/>
                <c:pt idx="0">
                  <c:v>800</c:v>
                </c:pt>
                <c:pt idx="1">
                  <c:v>2100</c:v>
                </c:pt>
              </c:numCache>
            </c:numRef>
          </c:xVal>
          <c:yVal>
            <c:numRef>
              <c:f>Tabelle1!$I$23:$I$24</c:f>
              <c:numCache>
                <c:ptCount val="2"/>
                <c:pt idx="0">
                  <c:v>14.737100236566231</c:v>
                </c:pt>
                <c:pt idx="1">
                  <c:v>38.68488812098636</c:v>
                </c:pt>
              </c:numCache>
            </c:numRef>
          </c:yVal>
          <c:smooth val="1"/>
        </c:ser>
        <c:ser>
          <c:idx val="6"/>
          <c:order val="6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Tabelle1!$C$23:$C$24</c:f>
              <c:numCache>
                <c:ptCount val="2"/>
                <c:pt idx="0">
                  <c:v>800</c:v>
                </c:pt>
                <c:pt idx="1">
                  <c:v>2100</c:v>
                </c:pt>
              </c:numCache>
            </c:numRef>
          </c:xVal>
          <c:yVal>
            <c:numRef>
              <c:f>Tabelle1!$J$23:$J$24</c:f>
              <c:numCache>
                <c:ptCount val="2"/>
                <c:pt idx="0">
                  <c:v>17.40863686791984</c:v>
                </c:pt>
                <c:pt idx="1">
                  <c:v>45.69767177828958</c:v>
                </c:pt>
              </c:numCache>
            </c:numRef>
          </c:yVal>
          <c:smooth val="1"/>
        </c:ser>
        <c:ser>
          <c:idx val="7"/>
          <c:order val="7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Tabelle1!$C$23:$C$24</c:f>
              <c:numCache>
                <c:ptCount val="2"/>
                <c:pt idx="0">
                  <c:v>800</c:v>
                </c:pt>
                <c:pt idx="1">
                  <c:v>2100</c:v>
                </c:pt>
              </c:numCache>
            </c:numRef>
          </c:xVal>
          <c:yVal>
            <c:numRef>
              <c:f>Tabelle1!$K$23:$K$24</c:f>
              <c:numCache>
                <c:ptCount val="2"/>
                <c:pt idx="0">
                  <c:v>20.564468771619865</c:v>
                </c:pt>
                <c:pt idx="1">
                  <c:v>53.98173052550214</c:v>
                </c:pt>
              </c:numCache>
            </c:numRef>
          </c:yVal>
          <c:smooth val="1"/>
        </c:ser>
        <c:ser>
          <c:idx val="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Tabelle1!$C$23:$C$24</c:f>
              <c:numCache>
                <c:ptCount val="2"/>
                <c:pt idx="0">
                  <c:v>800</c:v>
                </c:pt>
                <c:pt idx="1">
                  <c:v>2100</c:v>
                </c:pt>
              </c:numCache>
            </c:numRef>
          </c:xVal>
          <c:yVal>
            <c:numRef>
              <c:f>Tabelle1!$L$23:$L$24</c:f>
              <c:numCache>
                <c:ptCount val="2"/>
                <c:pt idx="0">
                  <c:v>24.2923888336273</c:v>
                </c:pt>
                <c:pt idx="1">
                  <c:v>63.76752068827167</c:v>
                </c:pt>
              </c:numCache>
            </c:numRef>
          </c:yVal>
          <c:smooth val="1"/>
        </c:ser>
        <c:ser>
          <c:idx val="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Tabelle1!$C$23:$C$24</c:f>
              <c:numCache>
                <c:ptCount val="2"/>
                <c:pt idx="0">
                  <c:v>800</c:v>
                </c:pt>
                <c:pt idx="1">
                  <c:v>2100</c:v>
                </c:pt>
              </c:numCache>
            </c:numRef>
          </c:xVal>
          <c:yVal>
            <c:numRef>
              <c:f>Tabelle1!$M$23:$M$24</c:f>
              <c:numCache>
                <c:ptCount val="2"/>
                <c:pt idx="0">
                  <c:v>28.696105005082348</c:v>
                </c:pt>
                <c:pt idx="1">
                  <c:v>75.32727563834116</c:v>
                </c:pt>
              </c:numCache>
            </c:numRef>
          </c:yVal>
          <c:smooth val="1"/>
        </c:ser>
        <c:ser>
          <c:idx val="10"/>
          <c:order val="1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Tabelle1!$C$23:$C$24</c:f>
              <c:numCache>
                <c:ptCount val="2"/>
                <c:pt idx="0">
                  <c:v>800</c:v>
                </c:pt>
                <c:pt idx="1">
                  <c:v>2100</c:v>
                </c:pt>
              </c:numCache>
            </c:numRef>
          </c:xVal>
          <c:yVal>
            <c:numRef>
              <c:f>Tabelle1!$N$23:$N$24</c:f>
              <c:numCache>
                <c:ptCount val="2"/>
                <c:pt idx="0">
                  <c:v>33.8981253800289</c:v>
                </c:pt>
                <c:pt idx="1">
                  <c:v>88.98257912257586</c:v>
                </c:pt>
              </c:numCache>
            </c:numRef>
          </c:yVal>
          <c:smooth val="1"/>
        </c:ser>
        <c:ser>
          <c:idx val="11"/>
          <c:order val="1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Tabelle1!$C$23:$C$24</c:f>
              <c:numCache>
                <c:ptCount val="2"/>
                <c:pt idx="0">
                  <c:v>800</c:v>
                </c:pt>
                <c:pt idx="1">
                  <c:v>2100</c:v>
                </c:pt>
              </c:numCache>
            </c:numRef>
          </c:xVal>
          <c:yVal>
            <c:numRef>
              <c:f>Tabelle1!$O$23:$O$24</c:f>
              <c:numCache>
                <c:ptCount val="2"/>
                <c:pt idx="0">
                  <c:v>40.04316627906977</c:v>
                </c:pt>
                <c:pt idx="1">
                  <c:v>105.11331148255815</c:v>
                </c:pt>
              </c:numCache>
            </c:numRef>
          </c:yVal>
          <c:smooth val="1"/>
        </c:ser>
        <c:ser>
          <c:idx val="12"/>
          <c:order val="1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Tabelle1!$C$23:$C$24</c:f>
              <c:numCache>
                <c:ptCount val="2"/>
                <c:pt idx="0">
                  <c:v>800</c:v>
                </c:pt>
                <c:pt idx="1">
                  <c:v>2100</c:v>
                </c:pt>
              </c:numCache>
            </c:numRef>
          </c:xVal>
          <c:yVal>
            <c:numRef>
              <c:f>Tabelle1!$P$23:$P$24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3"/>
          <c:order val="1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Tabelle1!$C$23:$C$24</c:f>
              <c:numCache>
                <c:ptCount val="2"/>
                <c:pt idx="0">
                  <c:v>800</c:v>
                </c:pt>
                <c:pt idx="1">
                  <c:v>2100</c:v>
                </c:pt>
              </c:numCache>
            </c:numRef>
          </c:xVal>
          <c:yVal>
            <c:numRef>
              <c:f>Tabelle1!$Q$23:$Q$24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4"/>
          <c:order val="1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Tabelle1!$C$23:$C$24</c:f>
              <c:numCache>
                <c:ptCount val="2"/>
                <c:pt idx="0">
                  <c:v>800</c:v>
                </c:pt>
                <c:pt idx="1">
                  <c:v>2100</c:v>
                </c:pt>
              </c:numCache>
            </c:numRef>
          </c:xVal>
          <c:yVal>
            <c:numRef>
              <c:f>Tabelle1!$R$23:$R$24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5"/>
          <c:order val="15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Tabelle1!$C$23:$C$24</c:f>
              <c:numCache>
                <c:ptCount val="2"/>
                <c:pt idx="0">
                  <c:v>800</c:v>
                </c:pt>
                <c:pt idx="1">
                  <c:v>2100</c:v>
                </c:pt>
              </c:numCache>
            </c:numRef>
          </c:xVal>
          <c:yVal>
            <c:numRef>
              <c:f>Tabelle1!$S$23:$S$24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39867703"/>
        <c:axId val="23265008"/>
      </c:scatterChart>
      <c:valAx>
        <c:axId val="39867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265008"/>
        <c:crosses val="autoZero"/>
        <c:crossBetween val="midCat"/>
        <c:dispUnits/>
      </c:valAx>
      <c:valAx>
        <c:axId val="232650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67703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0.06625</cdr:x>
      <cdr:y>0.0485</cdr:y>
    </cdr:from>
    <cdr:to>
      <cdr:x>0.168</cdr:x>
      <cdr:y>0.099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180975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  (km/h)</a:t>
          </a:r>
        </a:p>
      </cdr:txBody>
    </cdr:sp>
  </cdr:relSizeAnchor>
  <cdr:relSizeAnchor xmlns:cdr="http://schemas.openxmlformats.org/drawingml/2006/chartDrawing">
    <cdr:from>
      <cdr:x>0.83925</cdr:x>
      <cdr:y>0.86225</cdr:y>
    </cdr:from>
    <cdr:to>
      <cdr:x>0.963</cdr:x>
      <cdr:y>0.9155</cdr:y>
    </cdr:to>
    <cdr:sp>
      <cdr:nvSpPr>
        <cdr:cNvPr id="2" name="TextBox 2"/>
        <cdr:cNvSpPr txBox="1">
          <a:spLocks noChangeArrowheads="1"/>
        </cdr:cNvSpPr>
      </cdr:nvSpPr>
      <cdr:spPr>
        <a:xfrm>
          <a:off x="7686675" y="3276600"/>
          <a:ext cx="1133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  (1/min)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10</xdr:row>
      <xdr:rowOff>9525</xdr:rowOff>
    </xdr:from>
    <xdr:to>
      <xdr:col>6</xdr:col>
      <xdr:colOff>533400</xdr:colOff>
      <xdr:row>10</xdr:row>
      <xdr:rowOff>9525</xdr:rowOff>
    </xdr:to>
    <xdr:sp>
      <xdr:nvSpPr>
        <xdr:cNvPr id="1" name="Line 29"/>
        <xdr:cNvSpPr>
          <a:spLocks/>
        </xdr:cNvSpPr>
      </xdr:nvSpPr>
      <xdr:spPr>
        <a:xfrm flipV="1">
          <a:off x="4029075" y="1666875"/>
          <a:ext cx="381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2" name="Rectangle 30"/>
        <xdr:cNvSpPr>
          <a:spLocks/>
        </xdr:cNvSpPr>
      </xdr:nvSpPr>
      <xdr:spPr>
        <a:xfrm>
          <a:off x="7191375" y="2790825"/>
          <a:ext cx="552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24</xdr:row>
      <xdr:rowOff>123825</xdr:rowOff>
    </xdr:from>
    <xdr:to>
      <xdr:col>15</xdr:col>
      <xdr:colOff>400050</xdr:colOff>
      <xdr:row>48</xdr:row>
      <xdr:rowOff>47625</xdr:rowOff>
    </xdr:to>
    <xdr:graphicFrame>
      <xdr:nvGraphicFramePr>
        <xdr:cNvPr id="3" name="Chart 40"/>
        <xdr:cNvGraphicFramePr/>
      </xdr:nvGraphicFramePr>
      <xdr:xfrm>
        <a:off x="85725" y="4048125"/>
        <a:ext cx="91630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323850</xdr:colOff>
      <xdr:row>9</xdr:row>
      <xdr:rowOff>57150</xdr:rowOff>
    </xdr:from>
    <xdr:to>
      <xdr:col>6</xdr:col>
      <xdr:colOff>161925</xdr:colOff>
      <xdr:row>10</xdr:row>
      <xdr:rowOff>9525</xdr:rowOff>
    </xdr:to>
    <xdr:sp>
      <xdr:nvSpPr>
        <xdr:cNvPr id="4" name="Line 42"/>
        <xdr:cNvSpPr>
          <a:spLocks/>
        </xdr:cNvSpPr>
      </xdr:nvSpPr>
      <xdr:spPr>
        <a:xfrm>
          <a:off x="3648075" y="1552575"/>
          <a:ext cx="390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10</xdr:row>
      <xdr:rowOff>9525</xdr:rowOff>
    </xdr:from>
    <xdr:to>
      <xdr:col>6</xdr:col>
      <xdr:colOff>161925</xdr:colOff>
      <xdr:row>11</xdr:row>
      <xdr:rowOff>133350</xdr:rowOff>
    </xdr:to>
    <xdr:sp>
      <xdr:nvSpPr>
        <xdr:cNvPr id="5" name="Line 43"/>
        <xdr:cNvSpPr>
          <a:spLocks/>
        </xdr:cNvSpPr>
      </xdr:nvSpPr>
      <xdr:spPr>
        <a:xfrm flipH="1">
          <a:off x="3657600" y="1666875"/>
          <a:ext cx="3810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</xdr:row>
      <xdr:rowOff>152400</xdr:rowOff>
    </xdr:from>
    <xdr:to>
      <xdr:col>6</xdr:col>
      <xdr:colOff>514350</xdr:colOff>
      <xdr:row>3</xdr:row>
      <xdr:rowOff>152400</xdr:rowOff>
    </xdr:to>
    <xdr:sp>
      <xdr:nvSpPr>
        <xdr:cNvPr id="6" name="Line 44"/>
        <xdr:cNvSpPr>
          <a:spLocks/>
        </xdr:cNvSpPr>
      </xdr:nvSpPr>
      <xdr:spPr>
        <a:xfrm>
          <a:off x="3990975" y="6762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</xdr:row>
      <xdr:rowOff>47625</xdr:rowOff>
    </xdr:from>
    <xdr:to>
      <xdr:col>6</xdr:col>
      <xdr:colOff>133350</xdr:colOff>
      <xdr:row>4</xdr:row>
      <xdr:rowOff>0</xdr:rowOff>
    </xdr:to>
    <xdr:sp>
      <xdr:nvSpPr>
        <xdr:cNvPr id="7" name="Line 45"/>
        <xdr:cNvSpPr>
          <a:spLocks/>
        </xdr:cNvSpPr>
      </xdr:nvSpPr>
      <xdr:spPr>
        <a:xfrm>
          <a:off x="3552825" y="409575"/>
          <a:ext cx="4572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</xdr:row>
      <xdr:rowOff>0</xdr:rowOff>
    </xdr:from>
    <xdr:to>
      <xdr:col>6</xdr:col>
      <xdr:colOff>114300</xdr:colOff>
      <xdr:row>4</xdr:row>
      <xdr:rowOff>104775</xdr:rowOff>
    </xdr:to>
    <xdr:sp>
      <xdr:nvSpPr>
        <xdr:cNvPr id="8" name="Line 46"/>
        <xdr:cNvSpPr>
          <a:spLocks/>
        </xdr:cNvSpPr>
      </xdr:nvSpPr>
      <xdr:spPr>
        <a:xfrm flipH="1">
          <a:off x="3543300" y="685800"/>
          <a:ext cx="4476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"/>
  <sheetViews>
    <sheetView tabSelected="1" workbookViewId="0" topLeftCell="A1">
      <selection activeCell="M8" sqref="M8"/>
    </sheetView>
  </sheetViews>
  <sheetFormatPr defaultColWidth="11.421875" defaultRowHeight="12.75"/>
  <cols>
    <col min="1" max="1" width="16.140625" style="0" customWidth="1"/>
    <col min="2" max="2" width="9.421875" style="0" customWidth="1"/>
    <col min="3" max="3" width="7.7109375" style="0" customWidth="1"/>
    <col min="4" max="25" width="8.28125" style="0" customWidth="1"/>
    <col min="26" max="26" width="8.57421875" style="0" customWidth="1"/>
    <col min="27" max="34" width="9.57421875" style="0" customWidth="1"/>
  </cols>
  <sheetData>
    <row r="1" spans="1:16" ht="15.75">
      <c r="A1" s="12" t="s">
        <v>25</v>
      </c>
      <c r="G1" t="s">
        <v>26</v>
      </c>
      <c r="P1" s="26" t="s">
        <v>32</v>
      </c>
    </row>
    <row r="3" spans="1:11" ht="12.75">
      <c r="A3" s="3" t="s">
        <v>30</v>
      </c>
      <c r="B3" s="3"/>
      <c r="C3" s="3"/>
      <c r="D3" s="21">
        <v>12</v>
      </c>
      <c r="E3" s="3"/>
      <c r="F3" s="1"/>
      <c r="G3" s="1"/>
      <c r="H3" s="1"/>
      <c r="I3" s="1"/>
      <c r="J3" s="1"/>
      <c r="K3" s="1"/>
    </row>
    <row r="4" spans="1:11" ht="12.75">
      <c r="A4" s="6" t="s">
        <v>27</v>
      </c>
      <c r="B4" s="6"/>
      <c r="C4" s="6"/>
      <c r="D4" s="22">
        <v>5</v>
      </c>
      <c r="E4" s="3"/>
      <c r="F4" s="1"/>
      <c r="G4" s="1"/>
      <c r="H4" s="1" t="s">
        <v>28</v>
      </c>
      <c r="I4" s="1"/>
      <c r="J4" s="31">
        <f>(D5/D4)^(1/(D3-1))</f>
        <v>0.8465395854010462</v>
      </c>
      <c r="K4" s="7">
        <f>1/J4</f>
        <v>1.1812796675376407</v>
      </c>
    </row>
    <row r="5" spans="1:11" ht="12.75">
      <c r="A5" s="15" t="s">
        <v>29</v>
      </c>
      <c r="B5" s="15"/>
      <c r="C5" s="15"/>
      <c r="D5" s="23">
        <v>0.8</v>
      </c>
      <c r="E5" s="16"/>
      <c r="F5" s="17"/>
      <c r="G5" s="17"/>
      <c r="H5" s="17" t="s">
        <v>33</v>
      </c>
      <c r="I5" s="17"/>
      <c r="J5" s="20">
        <f>D4/D5</f>
        <v>6.25</v>
      </c>
      <c r="K5" s="17"/>
    </row>
    <row r="6" spans="1:11" ht="12.75">
      <c r="A6" s="3" t="s">
        <v>0</v>
      </c>
      <c r="B6" s="3"/>
      <c r="C6" s="3"/>
      <c r="D6" s="22">
        <v>4.3</v>
      </c>
      <c r="E6" s="3"/>
      <c r="F6" s="1"/>
      <c r="G6" s="1"/>
      <c r="H6" s="1"/>
      <c r="I6" s="1"/>
      <c r="J6" s="19"/>
      <c r="K6" s="1"/>
    </row>
    <row r="7" spans="1:15" ht="12.75">
      <c r="A7" s="3" t="s">
        <v>31</v>
      </c>
      <c r="B7" s="3"/>
      <c r="C7" s="3"/>
      <c r="D7" s="22">
        <v>1</v>
      </c>
      <c r="E7" s="3"/>
      <c r="F7" s="1"/>
      <c r="G7" s="1"/>
      <c r="H7" s="1"/>
      <c r="I7" s="1"/>
      <c r="J7" s="19"/>
      <c r="K7" s="1"/>
      <c r="L7" s="13"/>
      <c r="M7" s="13"/>
      <c r="N7" s="13"/>
      <c r="O7" s="14"/>
    </row>
    <row r="8" spans="1:15" ht="12.75">
      <c r="A8" s="3" t="s">
        <v>11</v>
      </c>
      <c r="B8" s="3"/>
      <c r="C8" s="3"/>
      <c r="D8" s="24">
        <v>800</v>
      </c>
      <c r="E8" s="3" t="s">
        <v>12</v>
      </c>
      <c r="F8" s="1"/>
      <c r="G8" s="1"/>
      <c r="H8" s="1"/>
      <c r="I8" s="1"/>
      <c r="J8" s="19"/>
      <c r="K8" s="1"/>
      <c r="L8" s="14"/>
      <c r="M8" s="14"/>
      <c r="N8" s="14"/>
      <c r="O8" s="14"/>
    </row>
    <row r="9" spans="1:11" ht="12.75">
      <c r="A9" s="16" t="s">
        <v>13</v>
      </c>
      <c r="B9" s="16"/>
      <c r="C9" s="16"/>
      <c r="D9" s="25">
        <v>2100</v>
      </c>
      <c r="E9" s="16" t="s">
        <v>12</v>
      </c>
      <c r="F9" s="17"/>
      <c r="G9" s="17"/>
      <c r="H9" s="17"/>
      <c r="I9" s="17"/>
      <c r="J9" s="20"/>
      <c r="K9" s="17"/>
    </row>
    <row r="10" spans="1:11" ht="12.75">
      <c r="A10" s="3" t="s">
        <v>1</v>
      </c>
      <c r="B10" s="3"/>
      <c r="C10" s="3"/>
      <c r="D10" s="24">
        <v>22.5</v>
      </c>
      <c r="E10" s="3" t="s">
        <v>2</v>
      </c>
      <c r="F10" s="1"/>
      <c r="G10" s="1"/>
      <c r="H10" s="1" t="s">
        <v>6</v>
      </c>
      <c r="I10" s="1"/>
      <c r="J10" s="19">
        <f>D10*2.54+2*D11*D12/10</f>
        <v>91.35</v>
      </c>
      <c r="K10" s="1" t="s">
        <v>8</v>
      </c>
    </row>
    <row r="11" spans="1:11" ht="12.75">
      <c r="A11" s="3" t="s">
        <v>3</v>
      </c>
      <c r="B11" s="3"/>
      <c r="C11" s="3"/>
      <c r="D11" s="24">
        <v>285</v>
      </c>
      <c r="E11" s="3" t="s">
        <v>4</v>
      </c>
      <c r="F11" s="1"/>
      <c r="G11" s="1"/>
      <c r="H11" s="1" t="s">
        <v>7</v>
      </c>
      <c r="I11" s="1"/>
      <c r="J11" s="32">
        <f>J10*3.1415/100</f>
        <v>2.86976025</v>
      </c>
      <c r="K11" s="1" t="s">
        <v>9</v>
      </c>
    </row>
    <row r="12" spans="1:15" ht="12.75">
      <c r="A12" s="3" t="s">
        <v>5</v>
      </c>
      <c r="B12" s="3"/>
      <c r="C12" s="3"/>
      <c r="D12" s="24">
        <v>0.6</v>
      </c>
      <c r="E12" s="3"/>
      <c r="F12" s="1"/>
      <c r="G12" s="1"/>
      <c r="H12" s="1"/>
      <c r="I12" s="1"/>
      <c r="J12" s="1"/>
      <c r="K12" s="1"/>
      <c r="L12" s="13"/>
      <c r="M12" s="13"/>
      <c r="N12" s="13"/>
      <c r="O12" s="13"/>
    </row>
    <row r="14" spans="1:34" ht="12.75">
      <c r="A14" s="1" t="s">
        <v>14</v>
      </c>
      <c r="B14" s="1"/>
      <c r="C14" s="29">
        <v>1</v>
      </c>
      <c r="D14" s="30"/>
      <c r="E14" s="27">
        <f>IF($D3&gt;1,2,"")</f>
        <v>2</v>
      </c>
      <c r="F14" s="28"/>
      <c r="G14" s="27">
        <f>IF($D3&gt;2,3,"")</f>
        <v>3</v>
      </c>
      <c r="H14" s="28"/>
      <c r="I14" s="27">
        <f>IF($D3&gt;3,4,"")</f>
        <v>4</v>
      </c>
      <c r="J14" s="28"/>
      <c r="K14" s="27">
        <f>IF($D3&gt;4,5,"")</f>
        <v>5</v>
      </c>
      <c r="L14" s="28"/>
      <c r="M14" s="27">
        <f>IF($D3&gt;5,6,"")</f>
        <v>6</v>
      </c>
      <c r="N14" s="28"/>
      <c r="O14" s="27">
        <f>IF($D3&gt;6,7,"")</f>
        <v>7</v>
      </c>
      <c r="P14" s="28"/>
      <c r="Q14" s="27">
        <f>IF($D3&gt;7,8,"")</f>
        <v>8</v>
      </c>
      <c r="R14" s="28"/>
      <c r="S14" s="27">
        <f>IF($D3&gt;8,9,"")</f>
        <v>9</v>
      </c>
      <c r="T14" s="28"/>
      <c r="U14" s="27">
        <f>IF($D3&gt;9,10,"")</f>
        <v>10</v>
      </c>
      <c r="V14" s="28"/>
      <c r="W14" s="27">
        <f>IF($D3&gt;10,11,"")</f>
        <v>11</v>
      </c>
      <c r="X14" s="28"/>
      <c r="Y14" s="27">
        <f>IF($D3&gt;11,12,"")</f>
        <v>12</v>
      </c>
      <c r="Z14" s="28"/>
      <c r="AA14" s="27">
        <f>IF($D3&gt;12,13,"")</f>
      </c>
      <c r="AB14" s="28"/>
      <c r="AC14" s="27">
        <f>IF($D3&gt;13,14,"")</f>
      </c>
      <c r="AD14" s="28"/>
      <c r="AE14" s="27">
        <f>IF($D3&gt;14,15,"")</f>
      </c>
      <c r="AF14" s="28"/>
      <c r="AG14" s="27">
        <f>IF($D3&gt;15,16,"")</f>
      </c>
      <c r="AH14" s="28"/>
    </row>
    <row r="15" spans="1:34" ht="12.75">
      <c r="A15" s="1" t="s">
        <v>15</v>
      </c>
      <c r="B15" s="1"/>
      <c r="C15" s="7">
        <f>IF($D3&gt;0,$D4,"")</f>
        <v>5</v>
      </c>
      <c r="D15" s="18">
        <f>IF($D3&gt;0,$D4,"")</f>
        <v>5</v>
      </c>
      <c r="E15" s="7">
        <f>IF($D3&gt;1,IF($D3=2,$D5,C15*$J4),"")</f>
        <v>4.232697927005232</v>
      </c>
      <c r="F15" s="18">
        <f>IF($D3&gt;1,IF($D3=2,$D5,D15*$J4),"")</f>
        <v>4.232697927005232</v>
      </c>
      <c r="G15" s="7">
        <f>IF($D3&gt;2,IF($D3=2,$D5,E15*$J4),"")</f>
        <v>3.5831463482548767</v>
      </c>
      <c r="H15" s="18">
        <f>IF($D3&gt;2,IF($D3=2,$D5,F15*$J4),"")</f>
        <v>3.5831463482548767</v>
      </c>
      <c r="I15" s="7">
        <f>IF($D3&gt;3,IF($D3=4,$D5,G15*$J4),"")</f>
        <v>3.033275224082956</v>
      </c>
      <c r="J15" s="18">
        <f>IF($D3&gt;3,IF($D3=4,$D5,H15*$J4),"")</f>
        <v>3.033275224082956</v>
      </c>
      <c r="K15" s="7">
        <f>IF($D3&gt;4,IF($D3=5,$D5,I15*$J4),"")</f>
        <v>2.5677875506024512</v>
      </c>
      <c r="L15" s="18">
        <f>IF($D3&gt;4,IF($D3=5,$D5,J15*$J4),"")</f>
        <v>2.5677875506024512</v>
      </c>
      <c r="M15" s="7">
        <f>IF($D3&gt;5,IF($D3=6,$D5,K15*$J4),"")</f>
        <v>2.173733808484967</v>
      </c>
      <c r="N15" s="18">
        <f>IF($D3&gt;5,IF($D3=6,$D5,L15*$J4),"")</f>
        <v>2.173733808484967</v>
      </c>
      <c r="O15" s="7">
        <f>IF($D3&gt;6,IF($D3=7,$D5,M15*$J4),"")</f>
        <v>1.8401517170071011</v>
      </c>
      <c r="P15" s="18">
        <f>IF($D3&gt;6,IF($D3=7,$D5,N15*$J4),"")</f>
        <v>1.8401517170071011</v>
      </c>
      <c r="Q15" s="7">
        <f>IF($D3&gt;7,IF($D3=8,$D5,O15*$J4),"")</f>
        <v>1.5577612715902147</v>
      </c>
      <c r="R15" s="18">
        <f>IF($D3&gt;7,IF($D3=8,$D5,P15*$J4),"")</f>
        <v>1.5577612715902147</v>
      </c>
      <c r="S15" s="7">
        <f>IF($D3&gt;8,IF($D3=9,$D5,Q15*$J4),"")</f>
        <v>1.318706581005787</v>
      </c>
      <c r="T15" s="18">
        <f>IF($D3&gt;8,IF($D3=9,$D5,R15*$J4),"")</f>
        <v>1.318706581005787</v>
      </c>
      <c r="U15" s="7">
        <f>IF($D3&gt;9,IF($D3=10,$D5,S15*$J4),"")</f>
        <v>1.1163373223502702</v>
      </c>
      <c r="V15" s="18">
        <f>IF($D3&gt;9,IF($D3=10,$D5,T15*$J4),"")</f>
        <v>1.1163373223502702</v>
      </c>
      <c r="W15" s="7">
        <f>IF($D3&gt;10,IF($D3=11,$D5,U15*$J4),"")</f>
        <v>0.9450237340301119</v>
      </c>
      <c r="X15" s="18">
        <f>IF($D3&gt;10,IF($D3=11,$D5,V15*$J4),"")</f>
        <v>0.9450237340301119</v>
      </c>
      <c r="Y15" s="7">
        <f>IF($D3&gt;11,IF($D3=12,$D5,W15*$J4),"")</f>
        <v>0.8</v>
      </c>
      <c r="Z15" s="18">
        <f>IF($D3&gt;11,IF($D3=12,$D5,X15*$J4),"")</f>
        <v>0.8</v>
      </c>
      <c r="AA15" s="7">
        <f>IF($D3&gt;12,IF($D3=13,$D5,Y15*$J4),"")</f>
      </c>
      <c r="AB15" s="18">
        <f>IF($D3&gt;12,IF($D3=13,$D5,Z15*$J4),"")</f>
      </c>
      <c r="AC15" s="7">
        <f>IF($D3&gt;13,IF($D3=14,$D5,AA15*$J4),"")</f>
      </c>
      <c r="AD15" s="18">
        <f>IF($D3&gt;13,IF($D3=14,$D5,AB15*$J4),"")</f>
      </c>
      <c r="AE15" s="7">
        <f>IF($D3&gt;14,IF($D3=15,$D5,AC15*$J4),"")</f>
      </c>
      <c r="AF15" s="18">
        <f>IF($D3&gt;14,IF($D3=15,$D5,AD15*$J4),"")</f>
      </c>
      <c r="AG15" s="7">
        <f>IF($D3&gt;15,IF($D3=16,$D5,AE15*$J4),"")</f>
      </c>
      <c r="AH15" s="18">
        <f>IF($D3&gt;15,IF($D3=16,$D5,#REF!*$J4),"")</f>
      </c>
    </row>
    <row r="16" spans="1:34" ht="12.75">
      <c r="A16" s="1" t="s">
        <v>16</v>
      </c>
      <c r="B16" s="1" t="s">
        <v>12</v>
      </c>
      <c r="C16" s="4">
        <f>$D8</f>
        <v>800</v>
      </c>
      <c r="D16" s="8">
        <f>$D9</f>
        <v>2100</v>
      </c>
      <c r="E16" s="4">
        <f>IF($D3&gt;1,$D8,"")</f>
        <v>800</v>
      </c>
      <c r="F16" s="8">
        <f>IF($D3&gt;1,$D9,"")</f>
        <v>2100</v>
      </c>
      <c r="G16" s="4">
        <f>IF($D3&gt;2,$D8,"")</f>
        <v>800</v>
      </c>
      <c r="H16" s="8">
        <f>IF($D3&gt;2,$D9,"")</f>
        <v>2100</v>
      </c>
      <c r="I16" s="4">
        <f>IF($D3&gt;3,$D8,"")</f>
        <v>800</v>
      </c>
      <c r="J16" s="8">
        <f>IF($D3&gt;3,$D9,"")</f>
        <v>2100</v>
      </c>
      <c r="K16" s="4">
        <f>IF($D3&gt;4,$D8,"")</f>
        <v>800</v>
      </c>
      <c r="L16" s="8">
        <f>IF($D3&gt;4,$D9,"")</f>
        <v>2100</v>
      </c>
      <c r="M16" s="4">
        <f>IF($D3&gt;5,$D8,"")</f>
        <v>800</v>
      </c>
      <c r="N16" s="8">
        <f>IF($D3&gt;5,$D9,"")</f>
        <v>2100</v>
      </c>
      <c r="O16" s="4">
        <f>IF($D3&gt;6,$D8,"")</f>
        <v>800</v>
      </c>
      <c r="P16" s="8">
        <f>IF($D3&gt;6,$D9,"")</f>
        <v>2100</v>
      </c>
      <c r="Q16" s="4">
        <f>IF($D3&gt;7,$D8,"")</f>
        <v>800</v>
      </c>
      <c r="R16" s="8">
        <f>IF($D3&gt;7,$D9,"")</f>
        <v>2100</v>
      </c>
      <c r="S16" s="4">
        <f>IF($D3&gt;8,$D8,"")</f>
        <v>800</v>
      </c>
      <c r="T16" s="8">
        <f>IF($D3&gt;8,$D9,"")</f>
        <v>2100</v>
      </c>
      <c r="U16" s="4">
        <f>IF($D3&gt;9,$D8,"")</f>
        <v>800</v>
      </c>
      <c r="V16" s="8">
        <f>IF($D3&gt;9,$D9,"")</f>
        <v>2100</v>
      </c>
      <c r="W16" s="4">
        <f>IF($D3&gt;10,$D8,"")</f>
        <v>800</v>
      </c>
      <c r="X16" s="8">
        <f>IF($D3&gt;10,$D9,"")</f>
        <v>2100</v>
      </c>
      <c r="Y16" s="4">
        <f>IF($D3&gt;11,$D8,"")</f>
        <v>800</v>
      </c>
      <c r="Z16" s="8">
        <f>IF($D3&gt;11,$D9,"")</f>
        <v>2100</v>
      </c>
      <c r="AA16" s="4">
        <f>IF($D3&gt;12,$D8,"")</f>
      </c>
      <c r="AB16" s="8">
        <f>IF($D3&gt;12,$D9,"")</f>
      </c>
      <c r="AC16" s="4">
        <f>IF($D3&gt;13,$D8,"")</f>
      </c>
      <c r="AD16" s="8">
        <f>IF($D3&gt;13,$D9,"")</f>
      </c>
      <c r="AE16" s="4">
        <f>IF($D3&gt;14,$D8,"")</f>
      </c>
      <c r="AF16" s="8">
        <f>IF($D3&gt;14,$D9,"")</f>
      </c>
      <c r="AG16" s="4">
        <f>IF($D3&gt;15,$D8,"")</f>
      </c>
      <c r="AH16" s="8">
        <f>IF($D3&gt;15,$D9,"")</f>
      </c>
    </row>
    <row r="17" spans="1:34" ht="12.75">
      <c r="A17" s="1" t="s">
        <v>17</v>
      </c>
      <c r="B17" s="1" t="s">
        <v>12</v>
      </c>
      <c r="C17" s="4">
        <f>C16/C15</f>
        <v>160</v>
      </c>
      <c r="D17" s="8">
        <f>D16/D15</f>
        <v>420</v>
      </c>
      <c r="E17" s="4">
        <f>IF($D3&gt;1,E16/E15,"")</f>
        <v>189.00474680602247</v>
      </c>
      <c r="F17" s="8">
        <f>IF($D3&gt;1,F16/F15,"")</f>
        <v>496.137460365809</v>
      </c>
      <c r="G17" s="4">
        <f>IF($D3&gt;2,G16/G15,"")</f>
        <v>223.26746447005416</v>
      </c>
      <c r="H17" s="8">
        <f>IF($D3&gt;2,H16/H15,"")</f>
        <v>586.0770942338921</v>
      </c>
      <c r="I17" s="4">
        <f>IF($D3&gt;3,I16/I15,"")</f>
        <v>263.7413162011576</v>
      </c>
      <c r="J17" s="8">
        <f>IF($D3&gt;3,J16/J15,"")</f>
        <v>692.3209550280386</v>
      </c>
      <c r="K17" s="4">
        <f>IF($D3&gt;4,K16/K15,"")</f>
        <v>311.55225431804314</v>
      </c>
      <c r="L17" s="8">
        <f>IF($D3&gt;4,L16/L15,"")</f>
        <v>817.8246675848633</v>
      </c>
      <c r="M17" s="4">
        <f>IF($D3&gt;5,M16/M15,"")</f>
        <v>368.0303434014205</v>
      </c>
      <c r="N17" s="8">
        <f>IF($D3&gt;5,N16/N15,"")</f>
        <v>966.0796514287289</v>
      </c>
      <c r="O17" s="4">
        <f>IF($D3&gt;6,O16/O15,"")</f>
        <v>434.7467616969937</v>
      </c>
      <c r="P17" s="8">
        <f>IF($D3&gt;6,P16/P15,"")</f>
        <v>1141.2102494546084</v>
      </c>
      <c r="Q17" s="4">
        <f>IF($D3&gt;7,Q16/Q15,"")</f>
        <v>513.5575101204906</v>
      </c>
      <c r="R17" s="8">
        <f>IF($D3&gt;7,R16/R15,"")</f>
        <v>1348.0884640662878</v>
      </c>
      <c r="S17" s="4">
        <f>IF($D3&gt;8,S16/S15,"")</f>
        <v>606.6550448165916</v>
      </c>
      <c r="T17" s="8">
        <f>IF($D3&gt;8,T16/T15,"")</f>
        <v>1592.469492643553</v>
      </c>
      <c r="U17" s="4">
        <f>IF($D3&gt;9,U16/U15,"")</f>
        <v>716.6292696509757</v>
      </c>
      <c r="V17" s="8">
        <f>IF($D3&gt;9,V16/V15,"")</f>
        <v>1881.1518328338113</v>
      </c>
      <c r="W17" s="4">
        <f>IF($D3&gt;10,W16/W15,"")</f>
        <v>846.5395854010468</v>
      </c>
      <c r="X17" s="8">
        <f>IF($D3&gt;10,X16/X15,"")</f>
        <v>2222.166411677748</v>
      </c>
      <c r="Y17" s="4">
        <f>IF($D3&gt;11,Y16/Y15,"")</f>
        <v>1000</v>
      </c>
      <c r="Z17" s="8">
        <f>IF($D3&gt;11,Z16/Z15,"")</f>
        <v>2625</v>
      </c>
      <c r="AA17" s="4">
        <f>IF($D3&gt;12,AA16/AA15,"")</f>
      </c>
      <c r="AB17" s="8">
        <f>IF($D3&gt;12,AB16/AB15,"")</f>
      </c>
      <c r="AC17" s="4">
        <f>IF($D3&gt;13,AC16/AC15,"")</f>
      </c>
      <c r="AD17" s="8">
        <f>IF($D3&gt;13,AD16/AD15,"")</f>
      </c>
      <c r="AE17" s="4">
        <f>IF($D3&gt;14,AE16/AE15,"")</f>
      </c>
      <c r="AF17" s="8">
        <f>IF($D3&gt;14,AF16/AF15,"")</f>
      </c>
      <c r="AG17" s="4">
        <f>IF($D3&gt;15,AG16/AG15,"")</f>
      </c>
      <c r="AH17" s="8">
        <f>IF($D3&gt;15,AH16/AH15,"")</f>
      </c>
    </row>
    <row r="18" spans="1:34" ht="12.75">
      <c r="A18" s="1" t="s">
        <v>18</v>
      </c>
      <c r="B18" s="1" t="s">
        <v>12</v>
      </c>
      <c r="C18" s="4">
        <f>C17/$D$6</f>
        <v>37.2093023255814</v>
      </c>
      <c r="D18" s="8">
        <f>D17/$D$6</f>
        <v>97.67441860465117</v>
      </c>
      <c r="E18" s="5">
        <f>IF($D3&gt;1,E17/$D$6,"")</f>
        <v>43.954592280470344</v>
      </c>
      <c r="F18" s="8">
        <f>IF($D3&gt;1,F17/$D$6,"")</f>
        <v>115.38080473623465</v>
      </c>
      <c r="G18" s="5">
        <f>IF($D3&gt;2,G17/$D$6,"")</f>
        <v>51.922666155826555</v>
      </c>
      <c r="H18" s="8">
        <f>IF($D3&gt;2,H17/$D$6,"")</f>
        <v>136.29699865904468</v>
      </c>
      <c r="I18" s="5">
        <f>IF($D3&gt;3,I17/$D$6,"")</f>
        <v>61.335189814222694</v>
      </c>
      <c r="J18" s="8">
        <f>IF($D3&gt;3,J17/$D$6,"")</f>
        <v>161.00487326233457</v>
      </c>
      <c r="K18" s="5">
        <f>IF($D3&gt;4,K17/$D$6,"")</f>
        <v>72.45401263210306</v>
      </c>
      <c r="L18" s="8">
        <f>IF($D3&gt;4,L17/$D$6,"")</f>
        <v>190.19178315927053</v>
      </c>
      <c r="M18" s="5">
        <f>IF($D3&gt;5,M17/$D$6,"")</f>
        <v>85.58845195381873</v>
      </c>
      <c r="N18" s="8">
        <f>IF($D3&gt;5,N17/$D$6,"")</f>
        <v>224.66968637877417</v>
      </c>
      <c r="O18" s="5">
        <f>IF($D3&gt;6,O17/$D$6,"")</f>
        <v>101.10389806906831</v>
      </c>
      <c r="P18" s="8">
        <f>IF($D3&gt;6,P17/$D$6,"")</f>
        <v>265.3977324313043</v>
      </c>
      <c r="Q18" s="5">
        <f>IF($D3&gt;7,Q17/$D$6,"")</f>
        <v>119.43197909778853</v>
      </c>
      <c r="R18" s="8">
        <f>IF($D3&gt;7,R17/$D$6,"")</f>
        <v>313.5089451316948</v>
      </c>
      <c r="S18" s="5">
        <f>IF($D3&gt;8,S17/$D$6,"")</f>
        <v>141.08256856199804</v>
      </c>
      <c r="T18" s="8">
        <f>IF($D3&gt;8,T17/$D$6,"")</f>
        <v>370.34174247524487</v>
      </c>
      <c r="U18" s="5">
        <f>IF($D3&gt;9,U17/$D$6,"")</f>
        <v>166.65796968627345</v>
      </c>
      <c r="V18" s="8">
        <f>IF($D3&gt;9,V17/$D$6,"")</f>
        <v>437.47717042646775</v>
      </c>
      <c r="W18" s="5">
        <f>IF($D3&gt;10,W17/$D$6,"")</f>
        <v>196.86967102349925</v>
      </c>
      <c r="X18" s="8">
        <f>IF($D3&gt;10,X17/$D$6,"")</f>
        <v>516.7828864366855</v>
      </c>
      <c r="Y18" s="5">
        <f>IF($D3&gt;11,Y17/$D$6,"")</f>
        <v>232.55813953488374</v>
      </c>
      <c r="Z18" s="8">
        <f>IF($D3&gt;11,Z17/$D$6,"")</f>
        <v>610.4651162790698</v>
      </c>
      <c r="AA18" s="5">
        <f>IF($D3&gt;12,AA17/$D$6,"")</f>
      </c>
      <c r="AB18" s="8">
        <f>IF($D3&gt;12,AB17/$D$6,"")</f>
      </c>
      <c r="AC18" s="5">
        <f>IF($D3&gt;13,AC17/$D$6,"")</f>
      </c>
      <c r="AD18" s="8">
        <f>IF($D3&gt;13,AD17/$D$6,"")</f>
      </c>
      <c r="AE18" s="5">
        <f>IF($D3&gt;14,AE17/$D$6,"")</f>
      </c>
      <c r="AF18" s="8">
        <f>IF($D3&gt;14,AF17/$D$6,"")</f>
      </c>
      <c r="AG18" s="5">
        <f>IF($D3&gt;15,AG17/$D$6,"")</f>
      </c>
      <c r="AH18" s="8">
        <f>IF($D3&gt;15,AH17/$D$6,"")</f>
      </c>
    </row>
    <row r="19" spans="1:34" ht="12.75">
      <c r="A19" s="1" t="s">
        <v>19</v>
      </c>
      <c r="B19" s="1" t="s">
        <v>12</v>
      </c>
      <c r="C19" s="4">
        <f>C18/$D$7</f>
        <v>37.2093023255814</v>
      </c>
      <c r="D19" s="8">
        <f>D18/$D$7</f>
        <v>97.67441860465117</v>
      </c>
      <c r="E19" s="5">
        <f>IF($D3&gt;1,E18/$D$7,"")</f>
        <v>43.954592280470344</v>
      </c>
      <c r="F19" s="8">
        <f>IF($D3&gt;1,F18/$D$7,"")</f>
        <v>115.38080473623465</v>
      </c>
      <c r="G19" s="5">
        <f>IF($D3&gt;2,G18/$D$7,"")</f>
        <v>51.922666155826555</v>
      </c>
      <c r="H19" s="8">
        <f>IF($D3&gt;2,H18/$D$7,"")</f>
        <v>136.29699865904468</v>
      </c>
      <c r="I19" s="5">
        <f>IF($D3&gt;3,I18/$D$7,"")</f>
        <v>61.335189814222694</v>
      </c>
      <c r="J19" s="8">
        <f>IF($D3&gt;3,J18/$D$7,"")</f>
        <v>161.00487326233457</v>
      </c>
      <c r="K19" s="5">
        <f>IF($D3&gt;4,K18/$D$7,"")</f>
        <v>72.45401263210306</v>
      </c>
      <c r="L19" s="8">
        <f>IF($D3&gt;4,L18/$D$7,"")</f>
        <v>190.19178315927053</v>
      </c>
      <c r="M19" s="5">
        <f>IF($D3&gt;5,M18/$D$7,"")</f>
        <v>85.58845195381873</v>
      </c>
      <c r="N19" s="8">
        <f>IF($D3&gt;5,N18/$D$7,"")</f>
        <v>224.66968637877417</v>
      </c>
      <c r="O19" s="5">
        <f>IF($D3&gt;6,O18/$D$7,"")</f>
        <v>101.10389806906831</v>
      </c>
      <c r="P19" s="8">
        <f>IF($D3&gt;6,P18/$D$7,"")</f>
        <v>265.3977324313043</v>
      </c>
      <c r="Q19" s="5">
        <f>IF($D3&gt;7,Q18/$D$7,"")</f>
        <v>119.43197909778853</v>
      </c>
      <c r="R19" s="8">
        <f>IF($D3&gt;7,R18/$D$7,"")</f>
        <v>313.5089451316948</v>
      </c>
      <c r="S19" s="5">
        <f>IF($D3&gt;8,S18/$D$7,"")</f>
        <v>141.08256856199804</v>
      </c>
      <c r="T19" s="8">
        <f>IF($D3&gt;8,T18/$D$7,"")</f>
        <v>370.34174247524487</v>
      </c>
      <c r="U19" s="5">
        <f>IF($D3&gt;9,U18/$D$7,"")</f>
        <v>166.65796968627345</v>
      </c>
      <c r="V19" s="8">
        <f>IF($D3&gt;9,V18/$D$7,"")</f>
        <v>437.47717042646775</v>
      </c>
      <c r="W19" s="5">
        <f>IF($D3&gt;10,W18/$D$7,"")</f>
        <v>196.86967102349925</v>
      </c>
      <c r="X19" s="8">
        <f>IF($D3&gt;10,X18/$D$7,"")</f>
        <v>516.7828864366855</v>
      </c>
      <c r="Y19" s="5">
        <f>IF($D3&gt;11,Y18/$D$7,"")</f>
        <v>232.55813953488374</v>
      </c>
      <c r="Z19" s="8">
        <f>IF($D3&gt;11,Z18/$D$7,"")</f>
        <v>610.4651162790698</v>
      </c>
      <c r="AA19" s="5">
        <f>IF($D3&gt;12,AA18/$D$7,"")</f>
      </c>
      <c r="AB19" s="8">
        <f>IF($D3&gt;12,AB18/$D$7,"")</f>
      </c>
      <c r="AC19" s="5">
        <f>IF($D3&gt;13,AC18/$D$7,"")</f>
      </c>
      <c r="AD19" s="8">
        <f>IF($D3&gt;13,AD18/$D$7,"")</f>
      </c>
      <c r="AE19" s="5">
        <f>IF($D3&gt;14,AE18/$D$7,"")</f>
      </c>
      <c r="AF19" s="8">
        <f>IF($D3&gt;14,AF18/$D$7,"")</f>
      </c>
      <c r="AG19" s="5">
        <f>IF($D3&gt;15,AG18/$D$7,"")</f>
      </c>
      <c r="AH19" s="8">
        <f>IF($D3&gt;15,AH18/$D$7,"")</f>
      </c>
    </row>
    <row r="20" spans="1:34" ht="12.75">
      <c r="A20" s="1" t="s">
        <v>20</v>
      </c>
      <c r="B20" s="1" t="s">
        <v>10</v>
      </c>
      <c r="C20" s="4">
        <f>C19*$J$11/1000*60</f>
        <v>6.406906604651163</v>
      </c>
      <c r="D20" s="8">
        <f>D19*$J$11/1000*60</f>
        <v>16.818129837209305</v>
      </c>
      <c r="E20" s="9">
        <f>IF($D3&gt;1,E19*$J$11/1000*60,"")</f>
        <v>7.56834850388704</v>
      </c>
      <c r="F20" s="8">
        <f>IF($D3&gt;1,F19*$J$11/1000*60,"")</f>
        <v>19.866914822703478</v>
      </c>
      <c r="G20" s="9">
        <f>IF($D3&gt;2,G19*$J$11/1000*60,"")</f>
        <v>8.940336204480682</v>
      </c>
      <c r="H20" s="8">
        <f>IF($D3&gt;2,H19*$J$11/1000*60,"")</f>
        <v>23.468382536761784</v>
      </c>
      <c r="I20" s="9">
        <f>IF($D3&gt;3,I19*$J$11/1000*60,"")</f>
        <v>10.56103737930367</v>
      </c>
      <c r="J20" s="8">
        <f>IF($D3&gt;3,J19*$J$11/1000*60,"")</f>
        <v>27.722723120672136</v>
      </c>
      <c r="K20" s="9">
        <f>IF($D3&gt;4,K19*$J$11/1000*60,"")</f>
        <v>12.475538724276435</v>
      </c>
      <c r="L20" s="8">
        <f>IF($D3&gt;4,L19*$J$11/1000*60,"")</f>
        <v>32.74828915122564</v>
      </c>
      <c r="M20" s="9">
        <f>IF($D3&gt;5,M19*$J$11/1000*60,"")</f>
        <v>14.737100236566231</v>
      </c>
      <c r="N20" s="8">
        <f>IF($D3&gt;5,N19*$J$11/1000*60,"")</f>
        <v>38.68488812098636</v>
      </c>
      <c r="O20" s="9">
        <f>IF($D3&gt;6,O19*$J$11/1000*60,"")</f>
        <v>17.40863686791984</v>
      </c>
      <c r="P20" s="8">
        <f>IF($D3&gt;6,P19*$J$11/1000*60,"")</f>
        <v>45.69767177828958</v>
      </c>
      <c r="Q20" s="9">
        <f>IF($D3&gt;7,Q19*$J$11/1000*60,"")</f>
        <v>20.564468771619865</v>
      </c>
      <c r="R20" s="8">
        <f>IF($D3&gt;7,R19*$J$11/1000*60,"")</f>
        <v>53.98173052550214</v>
      </c>
      <c r="S20" s="9">
        <f>IF($D3&gt;8,S19*$J$11/1000*60,"")</f>
        <v>24.2923888336273</v>
      </c>
      <c r="T20" s="8">
        <f>IF($D3&gt;8,T19*$J$11/1000*60,"")</f>
        <v>63.76752068827167</v>
      </c>
      <c r="U20" s="9">
        <f>IF($D3&gt;9,U19*$J$11/1000*60,"")</f>
        <v>28.696105005082348</v>
      </c>
      <c r="V20" s="8">
        <f>IF($D3&gt;9,V19*$J$11/1000*60,"")</f>
        <v>75.32727563834116</v>
      </c>
      <c r="W20" s="9">
        <f>IF($D3&gt;10,W19*$J$11/1000*60,"")</f>
        <v>33.8981253800289</v>
      </c>
      <c r="X20" s="8">
        <f>IF($D3&gt;10,X19*$J$11/1000*60,"")</f>
        <v>88.98257912257586</v>
      </c>
      <c r="Y20" s="9">
        <f>IF($D3&gt;11,Y19*$J$11/1000*60,"")</f>
        <v>40.04316627906977</v>
      </c>
      <c r="Z20" s="8">
        <f>IF($D3&gt;11,Z19*$J$11/1000*60,"")</f>
        <v>105.11331148255815</v>
      </c>
      <c r="AA20" s="9">
        <f>IF($D3&gt;12,AA19*$J$11/1000*60,"")</f>
      </c>
      <c r="AB20" s="8">
        <f>IF($D3&gt;12,AB19*$J$11/1000*60,"")</f>
      </c>
      <c r="AC20" s="9">
        <f>IF($D3&gt;13,AC19*$J$11/1000*60,"")</f>
      </c>
      <c r="AD20" s="8">
        <f>IF($D3&gt;13,AD19*$J$11/1000*60,"")</f>
      </c>
      <c r="AE20" s="9">
        <f>IF($D3&gt;14,AE19*$J$11/1000*60,"")</f>
      </c>
      <c r="AF20" s="8">
        <f>IF($D3&gt;14,AF19*$J$11/1000*60,"")</f>
      </c>
      <c r="AG20" s="9">
        <f>IF($D3&gt;15,AG19*$J$11/1000*60,"")</f>
      </c>
      <c r="AH20" s="8">
        <f>IF($D3&gt;15,AH19*$J$11/1000*60,"")</f>
      </c>
    </row>
    <row r="22" spans="1:19" ht="12.75">
      <c r="A22" s="10" t="s">
        <v>14</v>
      </c>
      <c r="B22" s="9"/>
      <c r="C22" s="9"/>
      <c r="D22" s="11">
        <v>1</v>
      </c>
      <c r="E22" s="11">
        <v>2</v>
      </c>
      <c r="F22" s="11">
        <v>3</v>
      </c>
      <c r="G22" s="11">
        <v>4</v>
      </c>
      <c r="H22" s="11">
        <v>5</v>
      </c>
      <c r="I22" s="11">
        <v>6</v>
      </c>
      <c r="J22" s="11">
        <v>7</v>
      </c>
      <c r="K22" s="11">
        <v>8</v>
      </c>
      <c r="L22" s="11">
        <v>9</v>
      </c>
      <c r="M22" s="11">
        <v>10</v>
      </c>
      <c r="N22" s="11">
        <v>11</v>
      </c>
      <c r="O22" s="11">
        <v>12</v>
      </c>
      <c r="P22" s="11">
        <v>13</v>
      </c>
      <c r="Q22" s="11">
        <v>14</v>
      </c>
      <c r="R22" s="11">
        <v>15</v>
      </c>
      <c r="S22" s="11">
        <v>16</v>
      </c>
    </row>
    <row r="23" spans="1:25" ht="12.75">
      <c r="A23" s="4" t="s">
        <v>21</v>
      </c>
      <c r="B23" s="9" t="s">
        <v>23</v>
      </c>
      <c r="C23" s="9">
        <f>C16</f>
        <v>800</v>
      </c>
      <c r="D23" s="9">
        <f>C20</f>
        <v>6.406906604651163</v>
      </c>
      <c r="E23" s="9">
        <f>E20</f>
        <v>7.56834850388704</v>
      </c>
      <c r="F23" s="9">
        <f>G20</f>
        <v>8.940336204480682</v>
      </c>
      <c r="G23" s="9">
        <f>I20</f>
        <v>10.56103737930367</v>
      </c>
      <c r="H23" s="9">
        <f>K20</f>
        <v>12.475538724276435</v>
      </c>
      <c r="I23" s="9">
        <f>M20</f>
        <v>14.737100236566231</v>
      </c>
      <c r="J23" s="9">
        <f>O20</f>
        <v>17.40863686791984</v>
      </c>
      <c r="K23" s="9">
        <f>Q20</f>
        <v>20.564468771619865</v>
      </c>
      <c r="L23" s="9">
        <f>S20</f>
        <v>24.2923888336273</v>
      </c>
      <c r="M23" s="9">
        <f>U20</f>
        <v>28.696105005082348</v>
      </c>
      <c r="N23" s="9">
        <f>W20</f>
        <v>33.8981253800289</v>
      </c>
      <c r="O23" s="9">
        <f>Y20</f>
        <v>40.04316627906977</v>
      </c>
      <c r="P23" s="9">
        <f>AA20</f>
      </c>
      <c r="Q23" s="9">
        <f>AC20</f>
      </c>
      <c r="R23" s="9">
        <f>AE20</f>
      </c>
      <c r="S23" s="9">
        <f>AG20</f>
      </c>
      <c r="T23" s="2"/>
      <c r="U23" s="2"/>
      <c r="V23" s="2"/>
      <c r="W23" s="2"/>
      <c r="X23" s="2"/>
      <c r="Y23" s="2"/>
    </row>
    <row r="24" spans="1:25" ht="12.75">
      <c r="A24" s="4" t="s">
        <v>22</v>
      </c>
      <c r="B24" s="9" t="s">
        <v>24</v>
      </c>
      <c r="C24" s="9">
        <f>D16</f>
        <v>2100</v>
      </c>
      <c r="D24" s="9">
        <f>D20</f>
        <v>16.818129837209305</v>
      </c>
      <c r="E24" s="9">
        <f>F20</f>
        <v>19.866914822703478</v>
      </c>
      <c r="F24" s="9">
        <f>H20</f>
        <v>23.468382536761784</v>
      </c>
      <c r="G24" s="9">
        <f>J20</f>
        <v>27.722723120672136</v>
      </c>
      <c r="H24" s="9">
        <f>L20</f>
        <v>32.74828915122564</v>
      </c>
      <c r="I24" s="9">
        <f>N20</f>
        <v>38.68488812098636</v>
      </c>
      <c r="J24" s="9">
        <f>P20</f>
        <v>45.69767177828958</v>
      </c>
      <c r="K24" s="9">
        <f>R20</f>
        <v>53.98173052550214</v>
      </c>
      <c r="L24" s="9">
        <f>T20</f>
        <v>63.76752068827167</v>
      </c>
      <c r="M24" s="9">
        <f>V20</f>
        <v>75.32727563834116</v>
      </c>
      <c r="N24" s="9">
        <f>X20</f>
        <v>88.98257912257586</v>
      </c>
      <c r="O24" s="9">
        <f>Z20</f>
        <v>105.11331148255815</v>
      </c>
      <c r="P24" s="9">
        <f>AB20</f>
      </c>
      <c r="Q24" s="9">
        <f>AD20</f>
      </c>
      <c r="R24" s="9">
        <f>AF20</f>
      </c>
      <c r="S24" s="9">
        <f>AH20</f>
      </c>
      <c r="T24" s="2"/>
      <c r="U24" s="2"/>
      <c r="V24" s="2"/>
      <c r="W24" s="2"/>
      <c r="X24" s="2"/>
      <c r="Y24" s="2"/>
    </row>
  </sheetData>
  <mergeCells count="16">
    <mergeCell ref="S14:T14"/>
    <mergeCell ref="U14:V14"/>
    <mergeCell ref="W14:X14"/>
    <mergeCell ref="Y14:Z14"/>
    <mergeCell ref="K14:L14"/>
    <mergeCell ref="M14:N14"/>
    <mergeCell ref="O14:P14"/>
    <mergeCell ref="Q14:R14"/>
    <mergeCell ref="C14:D14"/>
    <mergeCell ref="E14:F14"/>
    <mergeCell ref="G14:H14"/>
    <mergeCell ref="I14:J14"/>
    <mergeCell ref="AA14:AB14"/>
    <mergeCell ref="AC14:AD14"/>
    <mergeCell ref="AE14:AF14"/>
    <mergeCell ref="AG14:AH14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BKM 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Felder</dc:creator>
  <cp:keywords/>
  <dc:description/>
  <cp:lastModifiedBy>Helmut Felder</cp:lastModifiedBy>
  <dcterms:created xsi:type="dcterms:W3CDTF">2003-12-28T21:07:31Z</dcterms:created>
  <dcterms:modified xsi:type="dcterms:W3CDTF">2003-12-02T16:46:28Z</dcterms:modified>
  <cp:category/>
  <cp:version/>
  <cp:contentType/>
  <cp:contentStatus/>
</cp:coreProperties>
</file>